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28800" windowHeight="12225" activeTab="0"/>
  </bookViews>
  <sheets>
    <sheet name="Elternunterhalt 2020" sheetId="1" r:id="rId1"/>
    <sheet name="Steurung" sheetId="2" state="hidden" r:id="rId2"/>
  </sheets>
  <definedNames>
    <definedName name="_xlfn.PDURATION" hidden="1">#NAME?</definedName>
    <definedName name="abwEStufe">'Elternunterhalt 2020'!$I$7</definedName>
    <definedName name="BBGW">'Steurung'!$C$29</definedName>
    <definedName name="BGO">'Steurung'!$D$29</definedName>
    <definedName name="DDorf20">'Steurung'!$C$5:$J$14</definedName>
    <definedName name="Düsseldorfer2020">'Steurung'!$C$4:$H$14</definedName>
    <definedName name="Einkommensstufe">'Steurung'!$C$16:$D$25</definedName>
    <definedName name="EStufe">'Steurung'!$J$4</definedName>
    <definedName name="Gatte">'Steurung'!$C$27</definedName>
    <definedName name="SB2020_2">'Elternunterhalt 2020'!$G$18</definedName>
    <definedName name="SB220_1">'Elternunterhalt 2020'!$F$18</definedName>
    <definedName name="SBO">'Steurung'!$C$30</definedName>
    <definedName name="SBZuschlag">'Steurung'!$C$28</definedName>
  </definedNames>
  <calcPr fullCalcOnLoad="1"/>
</workbook>
</file>

<file path=xl/sharedStrings.xml><?xml version="1.0" encoding="utf-8"?>
<sst xmlns="http://schemas.openxmlformats.org/spreadsheetml/2006/main" count="62" uniqueCount="60">
  <si>
    <t>./. Werbungskosten, § 9a EStG</t>
  </si>
  <si>
    <t>./. Kinderbetreuungskosten, § 10 Nr. 5 EStG</t>
  </si>
  <si>
    <t>Nettoeinkommen StKl IV</t>
  </si>
  <si>
    <t>./. Krankenversicherung</t>
  </si>
  <si>
    <t>./. Pflegeversicherung</t>
  </si>
  <si>
    <t>quotale Haftung</t>
  </si>
  <si>
    <t>anrechenbares Einkommen</t>
  </si>
  <si>
    <t>+/- Steuererstattung bzw. Steuernachzahlung</t>
  </si>
  <si>
    <t>Haftungsanteile</t>
  </si>
  <si>
    <t>Familieneinkommen</t>
  </si>
  <si>
    <t>Einkommen &gt; SB</t>
  </si>
  <si>
    <t>individueller Familienselbstbehalt</t>
  </si>
  <si>
    <t>Resteinkommen</t>
  </si>
  <si>
    <t>Unterhalt</t>
  </si>
  <si>
    <t>./. Kindergeld</t>
  </si>
  <si>
    <t>Alter</t>
  </si>
  <si>
    <t>Name</t>
  </si>
  <si>
    <t>1.</t>
  </si>
  <si>
    <t>980/ 1180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</si>
  <si>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</si>
  <si>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</si>
  <si>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</si>
  <si>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</si>
  <si>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</si>
  <si>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</si>
  <si>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</si>
  <si>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</si>
  <si>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</si>
  <si>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Kindergeld</t>
  </si>
  <si>
    <t>Upflichtiger</t>
  </si>
  <si>
    <t>Schwiegerkind</t>
  </si>
  <si>
    <t xml:space="preserve"> + Mehrbedarf</t>
  </si>
  <si>
    <t>Wohnvorteil</t>
  </si>
  <si>
    <t>Elternunterhalt 2020</t>
  </si>
  <si>
    <t>Gatte</t>
  </si>
  <si>
    <t>Selbstbehalt:</t>
  </si>
  <si>
    <t>./. sonstige vorrangige ges. Unterhaltsansprüche</t>
  </si>
  <si>
    <t>./. Ges. Unterhaltsansprüche f. gemeinsame Kinder</t>
  </si>
  <si>
    <t>SBZuschlag</t>
  </si>
  <si>
    <t>§ 94 Ia SGB XII</t>
  </si>
  <si>
    <t>Einkommensberechnung</t>
  </si>
  <si>
    <t>Leistungsfähigkeit</t>
  </si>
  <si>
    <t>BBGW/O</t>
  </si>
  <si>
    <t>SBO</t>
  </si>
  <si>
    <t>SB 2020(1)</t>
  </si>
  <si>
    <t>SB 2020(2)</t>
  </si>
  <si>
    <t>sonst Einkommen</t>
  </si>
  <si>
    <t>BBG</t>
  </si>
  <si>
    <t>Jahres-Bruttoeinkommen</t>
  </si>
  <si>
    <t>Einkommen ab</t>
  </si>
  <si>
    <t>0 - 5</t>
  </si>
  <si>
    <t>6 - 11</t>
  </si>
  <si>
    <t>12 - 17</t>
  </si>
  <si>
    <t>&gt;17</t>
  </si>
  <si>
    <t>%</t>
  </si>
  <si>
    <t>Bedarfskon-trollbetrag</t>
  </si>
  <si>
    <t>Düsseldorfer Tabelle 2020</t>
  </si>
  <si>
    <t>Programm zur Berechnung d. Elternunterhalts nach Angehörigen-Entlastungsgesetz</t>
  </si>
  <si>
    <t>Das Programm ermöglicht die Berechnung der unterhaltsrechtlichen Leistungsfähigkeit nach unterschiedlichen und teilweise vom Anwender zu steuernden Varianten. Die weißen Felder sind editierbar.</t>
  </si>
  <si>
    <r>
      <t xml:space="preserve">gemeinsame Kinder </t>
    </r>
    <r>
      <rPr>
        <sz val="9"/>
        <color indexed="8"/>
        <rFont val="Calibri"/>
        <family val="2"/>
      </rPr>
      <t>(Düsseldorfer Tabelle 2020)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</si>
</sst>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 diagonalUp="1" diagonalDown="1">
      <left style="thin"/>
      <right style="medium"/>
      <top style="medium"/>
      <bottom style="medium"/>
      <diagonal style="thin">
        <color rgb="FFFF0000"/>
      </diagonal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 wrapText="1"/>
    </xf>
    <xf numFmtId="3" fontId="42" fillId="26" borderId="13" xfId="0" applyNumberFormat="1" applyFont="1" applyFill="1" applyBorder="1" applyAlignment="1">
      <alignment horizontal="center" vertical="center" wrapText="1"/>
    </xf>
    <xf numFmtId="3" fontId="42" fillId="26" borderId="14" xfId="0" applyNumberFormat="1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center" vertical="center" wrapText="1"/>
    </xf>
    <xf numFmtId="8" fontId="0" fillId="33" borderId="16" xfId="0" applyNumberFormat="1" applyFont="1" applyFill="1" applyBorder="1" applyAlignment="1">
      <alignment/>
    </xf>
    <xf numFmtId="8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8" fontId="0" fillId="33" borderId="16" xfId="0" applyNumberFormat="1" applyFill="1" applyBorder="1" applyAlignment="1">
      <alignment horizontal="center"/>
    </xf>
    <xf numFmtId="8" fontId="43" fillId="33" borderId="16" xfId="0" applyNumberFormat="1" applyFont="1" applyFill="1" applyBorder="1" applyAlignment="1">
      <alignment/>
    </xf>
    <xf numFmtId="10" fontId="0" fillId="33" borderId="16" xfId="49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right"/>
    </xf>
    <xf numFmtId="8" fontId="0" fillId="33" borderId="19" xfId="0" applyNumberFormat="1" applyFill="1" applyBorder="1" applyAlignment="1">
      <alignment/>
    </xf>
    <xf numFmtId="8" fontId="43" fillId="33" borderId="19" xfId="0" applyNumberFormat="1" applyFont="1" applyFill="1" applyBorder="1" applyAlignment="1">
      <alignment/>
    </xf>
    <xf numFmtId="10" fontId="0" fillId="33" borderId="19" xfId="49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8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 quotePrefix="1">
      <alignment/>
    </xf>
    <xf numFmtId="8" fontId="0" fillId="33" borderId="21" xfId="0" applyNumberFormat="1" applyFill="1" applyBorder="1" applyAlignment="1">
      <alignment/>
    </xf>
    <xf numFmtId="8" fontId="0" fillId="33" borderId="22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8" fontId="0" fillId="0" borderId="16" xfId="0" applyNumberFormat="1" applyFont="1" applyBorder="1" applyAlignment="1" applyProtection="1">
      <alignment/>
      <protection locked="0"/>
    </xf>
    <xf numFmtId="8" fontId="0" fillId="0" borderId="19" xfId="0" applyNumberFormat="1" applyBorder="1" applyAlignment="1" applyProtection="1">
      <alignment/>
      <protection locked="0"/>
    </xf>
    <xf numFmtId="8" fontId="0" fillId="34" borderId="16" xfId="0" applyNumberFormat="1" applyFont="1" applyFill="1" applyBorder="1" applyAlignment="1" applyProtection="1">
      <alignment/>
      <protection locked="0"/>
    </xf>
    <xf numFmtId="8" fontId="0" fillId="34" borderId="19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8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2" fillId="26" borderId="2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8" fontId="0" fillId="33" borderId="16" xfId="0" applyNumberFormat="1" applyFill="1" applyBorder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8" fontId="0" fillId="33" borderId="19" xfId="0" applyNumberFormat="1" applyFill="1" applyBorder="1" applyAlignment="1">
      <alignment horizontal="center" vertical="center"/>
    </xf>
    <xf numFmtId="8" fontId="0" fillId="33" borderId="26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43" fillId="33" borderId="28" xfId="0" applyFont="1" applyFill="1" applyBorder="1" applyAlignment="1">
      <alignment/>
    </xf>
    <xf numFmtId="8" fontId="43" fillId="33" borderId="29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16" fontId="0" fillId="0" borderId="16" xfId="0" applyNumberForma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42" fillId="26" borderId="16" xfId="0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42" fillId="2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30" xfId="0" applyFill="1" applyBorder="1" applyAlignment="1">
      <alignment/>
    </xf>
    <xf numFmtId="0" fontId="0" fillId="33" borderId="30" xfId="0" applyFill="1" applyBorder="1" applyAlignment="1" quotePrefix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3" fillId="35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6" fontId="0" fillId="34" borderId="29" xfId="0" applyNumberFormat="1" applyFill="1" applyBorder="1" applyAlignment="1" applyProtection="1">
      <alignment/>
      <protection locked="0"/>
    </xf>
    <xf numFmtId="6" fontId="0" fillId="0" borderId="35" xfId="0" applyNumberFormat="1" applyFill="1" applyBorder="1" applyAlignment="1" applyProtection="1">
      <alignment/>
      <protection locked="0"/>
    </xf>
    <xf numFmtId="8" fontId="0" fillId="33" borderId="16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8" fontId="0" fillId="33" borderId="19" xfId="0" applyNumberFormat="1" applyFill="1" applyBorder="1" applyAlignment="1">
      <alignment horizontal="center"/>
    </xf>
    <xf numFmtId="0" fontId="0" fillId="33" borderId="3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0" fontId="4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 vertical="center" textRotation="90"/>
    </xf>
    <xf numFmtId="0" fontId="45" fillId="33" borderId="39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/>
    </xf>
    <xf numFmtId="0" fontId="0" fillId="33" borderId="39" xfId="0" applyFill="1" applyBorder="1" applyAlignment="1">
      <alignment horizontal="center" vertical="center" textRotation="90"/>
    </xf>
    <xf numFmtId="0" fontId="0" fillId="33" borderId="42" xfId="0" applyFill="1" applyBorder="1" applyAlignment="1">
      <alignment horizontal="center" vertical="center" textRotation="90"/>
    </xf>
    <xf numFmtId="0" fontId="43" fillId="0" borderId="1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tabSelected="1" zoomScale="160" zoomScaleNormal="160" zoomScalePageLayoutView="0" workbookViewId="0" topLeftCell="A1">
      <selection activeCell="D13" sqref="D13"/>
    </sheetView>
  </sheetViews>
  <sheetFormatPr defaultColWidth="0" defaultRowHeight="15" zeroHeight="1"/>
  <cols>
    <col min="1" max="1" width="2.8515625" style="0" customWidth="1"/>
    <col min="2" max="2" width="47.421875" style="0" customWidth="1"/>
    <col min="3" max="4" width="15.421875" style="0" customWidth="1"/>
    <col min="5" max="5" width="15.57421875" style="0" customWidth="1"/>
    <col min="6" max="9" width="9.8515625" style="0" customWidth="1"/>
    <col min="10" max="10" width="2.57421875" style="15" customWidth="1"/>
    <col min="11" max="16384" width="11.421875" style="0" hidden="1" customWidth="1"/>
  </cols>
  <sheetData>
    <row r="1" spans="1:10" s="53" customFormat="1" ht="30" customHeight="1" thickBo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61"/>
    </row>
    <row r="2" spans="1:9" ht="15">
      <c r="A2" s="78" t="s">
        <v>39</v>
      </c>
      <c r="B2" s="66" t="s">
        <v>33</v>
      </c>
      <c r="C2" s="19" t="s">
        <v>29</v>
      </c>
      <c r="D2" s="20" t="s">
        <v>30</v>
      </c>
      <c r="E2" s="77" t="s">
        <v>58</v>
      </c>
      <c r="F2" s="77"/>
      <c r="G2" s="77"/>
      <c r="H2" s="77"/>
      <c r="I2" s="77"/>
    </row>
    <row r="3" spans="1:9" ht="15" customHeight="1">
      <c r="A3" s="79"/>
      <c r="B3" s="25" t="s">
        <v>48</v>
      </c>
      <c r="C3" s="33"/>
      <c r="D3" s="34"/>
      <c r="E3" s="77"/>
      <c r="F3" s="77"/>
      <c r="G3" s="77"/>
      <c r="H3" s="77"/>
      <c r="I3" s="77"/>
    </row>
    <row r="4" spans="1:9" ht="15">
      <c r="A4" s="79"/>
      <c r="B4" s="25" t="s">
        <v>0</v>
      </c>
      <c r="C4" s="33"/>
      <c r="D4" s="34"/>
      <c r="E4" s="77"/>
      <c r="F4" s="77"/>
      <c r="G4" s="77"/>
      <c r="H4" s="77"/>
      <c r="I4" s="77"/>
    </row>
    <row r="5" spans="1:9" ht="15">
      <c r="A5" s="79"/>
      <c r="B5" s="25" t="s">
        <v>1</v>
      </c>
      <c r="C5" s="33"/>
      <c r="D5" s="34"/>
      <c r="E5" s="77"/>
      <c r="F5" s="77"/>
      <c r="G5" s="77"/>
      <c r="H5" s="77"/>
      <c r="I5" s="77"/>
    </row>
    <row r="6" spans="1:9" ht="15.75" thickBot="1">
      <c r="A6" s="79"/>
      <c r="B6" s="25" t="str">
        <f>IF(C6&gt;100000,"Jahreseinkommensgrenze überschritten","Keine Überleitung möglich")</f>
        <v>Keine Überleitung möglich</v>
      </c>
      <c r="C6" s="13">
        <f>SUM(C3:C5)</f>
        <v>0</v>
      </c>
      <c r="D6" s="21"/>
      <c r="E6" s="15"/>
      <c r="F6" s="15"/>
      <c r="G6" s="15"/>
      <c r="H6" s="15"/>
      <c r="I6" s="15"/>
    </row>
    <row r="7" spans="1:9" ht="15.75" thickBot="1">
      <c r="A7" s="83" t="s">
        <v>40</v>
      </c>
      <c r="B7" s="25" t="s">
        <v>2</v>
      </c>
      <c r="C7" s="33"/>
      <c r="D7" s="34"/>
      <c r="E7" s="73" t="str">
        <f>"errechnete Est.: "&amp;TEXT(VLOOKUP($C7+$D7,Einkommensstufe,2),"##")&amp;" abweichende Estufe eingeben:"</f>
        <v>errechnete Est.: 1 abweichende Estufe eingeben:</v>
      </c>
      <c r="F7" s="74"/>
      <c r="G7" s="74"/>
      <c r="H7" s="75"/>
      <c r="I7" s="45"/>
    </row>
    <row r="8" spans="1:9" ht="15.75" thickBot="1">
      <c r="A8" s="83"/>
      <c r="B8" s="25" t="s">
        <v>32</v>
      </c>
      <c r="C8" s="35"/>
      <c r="D8" s="36"/>
      <c r="E8" s="15"/>
      <c r="F8" s="15"/>
      <c r="G8" s="15"/>
      <c r="H8" s="15"/>
      <c r="I8" s="15"/>
    </row>
    <row r="9" spans="1:9" ht="15">
      <c r="A9" s="83"/>
      <c r="B9" s="25" t="s">
        <v>46</v>
      </c>
      <c r="C9" s="37"/>
      <c r="D9" s="38"/>
      <c r="E9" s="81" t="s">
        <v>59</v>
      </c>
      <c r="F9" s="81"/>
      <c r="G9" s="81"/>
      <c r="H9" s="81"/>
      <c r="I9" s="82"/>
    </row>
    <row r="10" spans="1:9" ht="15">
      <c r="A10" s="83"/>
      <c r="B10" s="25" t="s">
        <v>3</v>
      </c>
      <c r="C10" s="33"/>
      <c r="D10" s="34"/>
      <c r="E10" s="62" t="s">
        <v>16</v>
      </c>
      <c r="F10" s="40"/>
      <c r="G10" s="40"/>
      <c r="H10" s="40"/>
      <c r="I10" s="41"/>
    </row>
    <row r="11" spans="1:9" ht="15">
      <c r="A11" s="83"/>
      <c r="B11" s="25" t="s">
        <v>4</v>
      </c>
      <c r="C11" s="33"/>
      <c r="D11" s="34"/>
      <c r="E11" s="62" t="s">
        <v>15</v>
      </c>
      <c r="F11" s="40"/>
      <c r="G11" s="40"/>
      <c r="H11" s="40"/>
      <c r="I11" s="41"/>
    </row>
    <row r="12" spans="1:9" ht="15">
      <c r="A12" s="83"/>
      <c r="B12" s="25" t="str">
        <f>"./. Altersvorsorge: "&amp;IF(SBO=2,TEXT(C3*0.05/12+IF(C3&gt;BBGW,(C3-BBGW)/12*20%,""),"#.##0,00 €"),"")</f>
        <v>./. Altersvorsorge: </v>
      </c>
      <c r="C12" s="39"/>
      <c r="D12" s="34"/>
      <c r="E12" s="62" t="str">
        <f>"Bedarf: Est."&amp;IF(abwEStufe&gt;0,abwEStufe,VLOOKUP(C7+D7,DDorf20,8))</f>
        <v>Bedarf: Est.1</v>
      </c>
      <c r="F12" s="44">
        <f>IF(F11&gt;0,HLOOKUP(F11,Düsseldorfer2020,IF(abwEStufe&gt;0,abwEStufe,VLOOKUP($C7+$D7,Einkommensstufe,2)+1)),0)</f>
        <v>0</v>
      </c>
      <c r="G12" s="44">
        <f>IF(G11&gt;0,HLOOKUP(G11,Düsseldorfer2020,IF(abwEStufe&gt;0,abwEStufe,VLOOKUP($C7+$D7,Einkommensstufe,2)+1)),0)</f>
        <v>0</v>
      </c>
      <c r="H12" s="44">
        <f>IF(H11&gt;0,HLOOKUP(H11,Düsseldorfer2020,IF(abwEStufe&gt;0,abwEStufe,VLOOKUP($C7+$D7,Einkommensstufe,2)+1)),0)</f>
        <v>0</v>
      </c>
      <c r="I12" s="46">
        <f>IF(I11&gt;0,HLOOKUP(I11,Düsseldorfer2020,IF(abwEStufe&gt;0,abwEStufe,VLOOKUP($C7+$D7,Einkommensstufe,2)+1)),0)</f>
        <v>0</v>
      </c>
    </row>
    <row r="13" spans="1:9" ht="15">
      <c r="A13" s="83"/>
      <c r="B13" s="25" t="s">
        <v>36</v>
      </c>
      <c r="C13" s="39"/>
      <c r="D13" s="34"/>
      <c r="E13" s="62" t="s">
        <v>14</v>
      </c>
      <c r="F13" s="16">
        <f>IF(F11=0,0,-IF(F11&lt;18,Steurung!G18/2))</f>
        <v>0</v>
      </c>
      <c r="G13" s="16">
        <f>IF(G11=0,0,-IF(G11&lt;18,Steurung!G19/2))</f>
        <v>0</v>
      </c>
      <c r="H13" s="16">
        <f>IF(H11=0,0,-IF(H11&lt;18,Steurung!G20/2))</f>
        <v>0</v>
      </c>
      <c r="I13" s="26">
        <f>IF(I11=0,0,-IF(I11&lt;18,Steurung!G21/2))</f>
        <v>0</v>
      </c>
    </row>
    <row r="14" spans="1:9" ht="15">
      <c r="A14" s="83"/>
      <c r="B14" s="27" t="s">
        <v>7</v>
      </c>
      <c r="C14" s="39"/>
      <c r="D14" s="34"/>
      <c r="E14" s="63" t="s">
        <v>31</v>
      </c>
      <c r="F14" s="39"/>
      <c r="G14" s="39"/>
      <c r="H14" s="39"/>
      <c r="I14" s="34"/>
    </row>
    <row r="15" spans="1:9" ht="15.75" thickBot="1">
      <c r="A15" s="83"/>
      <c r="B15" s="25" t="s">
        <v>37</v>
      </c>
      <c r="C15" s="70">
        <f>-SUM(F15:I15)</f>
        <v>0</v>
      </c>
      <c r="D15" s="72"/>
      <c r="E15" s="64" t="s">
        <v>13</v>
      </c>
      <c r="F15" s="28">
        <f>SUM(F12:F14)</f>
        <v>0</v>
      </c>
      <c r="G15" s="28">
        <f>SUM(G12:G14)</f>
        <v>0</v>
      </c>
      <c r="H15" s="28">
        <f>SUM(H12:H14)</f>
        <v>0</v>
      </c>
      <c r="I15" s="29">
        <f>SUM(I12:I14)</f>
        <v>0</v>
      </c>
    </row>
    <row r="16" spans="1:9" ht="15">
      <c r="A16" s="83"/>
      <c r="B16" s="25" t="s">
        <v>5</v>
      </c>
      <c r="C16" s="14" t="e">
        <f>C15*IF(Gatte,SUM(C7:C14)/SUM($C7:$D14),1)</f>
        <v>#DIV/0!</v>
      </c>
      <c r="D16" s="21" t="e">
        <f>C15*IF(Gatte,SUM(D7:D14)/SUM($C7:$D14),0)</f>
        <v>#DIV/0!</v>
      </c>
      <c r="E16" s="31"/>
      <c r="F16" s="31"/>
      <c r="G16" s="31"/>
      <c r="H16" s="31"/>
      <c r="I16" s="31"/>
    </row>
    <row r="17" spans="1:9" ht="15.75" thickBot="1">
      <c r="A17" s="83"/>
      <c r="B17" s="25" t="s">
        <v>6</v>
      </c>
      <c r="C17" s="17" t="e">
        <f>SUM(C7:C14)+C16</f>
        <v>#DIV/0!</v>
      </c>
      <c r="D17" s="22" t="e">
        <f>IF(Gatte,SUM(D7:D14)+D16,0)</f>
        <v>#DIV/0!</v>
      </c>
      <c r="E17" s="32"/>
      <c r="F17" s="30" t="s">
        <v>44</v>
      </c>
      <c r="G17" s="30" t="s">
        <v>45</v>
      </c>
      <c r="H17" s="32"/>
      <c r="I17" s="32"/>
    </row>
    <row r="18" spans="1:9" ht="15.75" thickBot="1">
      <c r="A18" s="83" t="s">
        <v>41</v>
      </c>
      <c r="B18" s="25" t="s">
        <v>8</v>
      </c>
      <c r="C18" s="18" t="e">
        <f>C17/(C17+D17)</f>
        <v>#DIV/0!</v>
      </c>
      <c r="D18" s="23" t="e">
        <f>D17/(D17+C17)</f>
        <v>#DIV/0!</v>
      </c>
      <c r="E18" s="65" t="s">
        <v>35</v>
      </c>
      <c r="F18" s="68">
        <v>5000</v>
      </c>
      <c r="G18" s="69">
        <v>2000</v>
      </c>
      <c r="H18" s="32"/>
      <c r="I18" s="32"/>
    </row>
    <row r="19" spans="1:9" ht="15">
      <c r="A19" s="83"/>
      <c r="B19" s="25" t="s">
        <v>9</v>
      </c>
      <c r="C19" s="70" t="e">
        <f>C17+D17</f>
        <v>#DIV/0!</v>
      </c>
      <c r="D19" s="71"/>
      <c r="E19" s="15"/>
      <c r="F19" s="15"/>
      <c r="G19" s="15"/>
      <c r="H19" s="32"/>
      <c r="I19" s="32"/>
    </row>
    <row r="20" spans="1:9" ht="15">
      <c r="A20" s="83"/>
      <c r="B20" s="25" t="str">
        <f>"Selbstbehalt: "&amp;IF(Gatte,"2 x "&amp;TEXT(IF(SBO=1,SB220_1,SB2020_2),"#.##0 €")&amp;" x 0,9","")</f>
        <v>Selbstbehalt: 2 x 5.000 € x 0,9</v>
      </c>
      <c r="C20" s="70">
        <f>IF(SBO=1,IF(Gatte,F18*2*0.9,F18)*-1,IF(Gatte,G18*2*0.9,G18)*-1)</f>
        <v>-9000</v>
      </c>
      <c r="D20" s="72"/>
      <c r="E20" s="15"/>
      <c r="F20" s="15"/>
      <c r="G20" s="15"/>
      <c r="H20" s="15"/>
      <c r="I20" s="15"/>
    </row>
    <row r="21" spans="1:9" ht="15">
      <c r="A21" s="83"/>
      <c r="B21" s="25" t="s">
        <v>10</v>
      </c>
      <c r="C21" s="70" t="e">
        <f>IF(C19+C20&lt;0,0,C19+C20)</f>
        <v>#DIV/0!</v>
      </c>
      <c r="D21" s="71"/>
      <c r="E21" s="80"/>
      <c r="F21" s="80"/>
      <c r="G21" s="80"/>
      <c r="H21" s="80"/>
      <c r="I21" s="80"/>
    </row>
    <row r="22" spans="1:9" ht="15">
      <c r="A22" s="83"/>
      <c r="B22" s="25" t="str">
        <f>IF(SBZuschlag,"             Zuschlag 1/2 &gt; SB (BGH FamRZ 2010, 1535)","               Kein Selbstbehaltszuschlag")</f>
        <v>             Zuschlag 1/2 &gt; SB (BGH FamRZ 2010, 1535)</v>
      </c>
      <c r="C22" s="70" t="e">
        <f>IF(SBZuschlag,C21/2*IF(Gatte,0.9,1),0)</f>
        <v>#DIV/0!</v>
      </c>
      <c r="D22" s="72"/>
      <c r="E22" s="80"/>
      <c r="F22" s="80"/>
      <c r="G22" s="80"/>
      <c r="H22" s="80"/>
      <c r="I22" s="80"/>
    </row>
    <row r="23" spans="1:9" ht="15">
      <c r="A23" s="83"/>
      <c r="B23" s="25" t="s">
        <v>11</v>
      </c>
      <c r="C23" s="70" t="e">
        <f>IF(ABS(C20)&gt;=C19,0,-C20+C22)</f>
        <v>#DIV/0!</v>
      </c>
      <c r="D23" s="71"/>
      <c r="E23" s="80"/>
      <c r="F23" s="80"/>
      <c r="G23" s="80"/>
      <c r="H23" s="80"/>
      <c r="I23" s="80"/>
    </row>
    <row r="24" spans="1:9" ht="15.75" thickBot="1">
      <c r="A24" s="83"/>
      <c r="B24" s="25" t="s">
        <v>8</v>
      </c>
      <c r="C24" s="14" t="e">
        <f>IF(-C23*C18&lt;0,-C23*C18,0)</f>
        <v>#DIV/0!</v>
      </c>
      <c r="D24" s="24"/>
      <c r="E24" s="80"/>
      <c r="F24" s="80"/>
      <c r="G24" s="80"/>
      <c r="H24" s="80"/>
      <c r="I24" s="80"/>
    </row>
    <row r="25" spans="1:9" ht="15.75" hidden="1" thickBot="1">
      <c r="A25" s="83"/>
      <c r="B25" s="67" t="s">
        <v>12</v>
      </c>
      <c r="C25" s="47" t="e">
        <f>IF(C24&lt;0,+C17+C24,0)</f>
        <v>#DIV/0!</v>
      </c>
      <c r="D25" s="48"/>
      <c r="E25" s="80"/>
      <c r="F25" s="80"/>
      <c r="G25" s="80"/>
      <c r="H25" s="80"/>
      <c r="I25" s="80"/>
    </row>
    <row r="26" spans="1:9" ht="15.75" thickBot="1">
      <c r="A26" s="84"/>
      <c r="B26" s="49" t="e">
        <f>IF(C26&lt;=0,"Kein Unterhalt","Unterhalt: "&amp;TEXT(C17,"#.##0,00 €")&amp;" - "&amp;TEXT(ABS(C24),"#.##0,00 €"))</f>
        <v>#DIV/0!</v>
      </c>
      <c r="C26" s="50" t="e">
        <f>+C25</f>
        <v>#DIV/0!</v>
      </c>
      <c r="D26" s="51"/>
      <c r="E26" s="80"/>
      <c r="F26" s="80"/>
      <c r="G26" s="80"/>
      <c r="H26" s="80"/>
      <c r="I26" s="80"/>
    </row>
    <row r="27" s="15" customFormat="1" ht="15"/>
  </sheetData>
  <sheetProtection password="C14E" sheet="1" selectLockedCells="1"/>
  <mergeCells count="14">
    <mergeCell ref="E9:I9"/>
    <mergeCell ref="A7:A17"/>
    <mergeCell ref="A18:A26"/>
    <mergeCell ref="C15:D15"/>
    <mergeCell ref="C19:D19"/>
    <mergeCell ref="C20:D20"/>
    <mergeCell ref="C21:D21"/>
    <mergeCell ref="E7:H7"/>
    <mergeCell ref="A1:I1"/>
    <mergeCell ref="E2:I5"/>
    <mergeCell ref="A2:A6"/>
    <mergeCell ref="E21:I26"/>
    <mergeCell ref="C22:D22"/>
    <mergeCell ref="C23:D23"/>
  </mergeCells>
  <conditionalFormatting sqref="B7:B26">
    <cfRule type="expression" priority="2" dxfId="2">
      <formula>$C$6&lt;=100000</formula>
    </cfRule>
  </conditionalFormatting>
  <conditionalFormatting sqref="C15:D26">
    <cfRule type="expression" priority="1" dxfId="2">
      <formula>$C$6&lt;=100000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35"/>
  <sheetViews>
    <sheetView zoomScalePageLayoutView="0" workbookViewId="0" topLeftCell="A1">
      <selection activeCell="K29" sqref="K29"/>
    </sheetView>
  </sheetViews>
  <sheetFormatPr defaultColWidth="11.421875" defaultRowHeight="15"/>
  <sheetData>
    <row r="4" spans="3:10" ht="15.75" thickBot="1">
      <c r="C4" s="1"/>
      <c r="D4" s="1">
        <v>0</v>
      </c>
      <c r="E4" s="1">
        <v>6</v>
      </c>
      <c r="F4" s="1">
        <v>12</v>
      </c>
      <c r="G4" s="1">
        <v>56</v>
      </c>
      <c r="H4" s="1"/>
      <c r="I4" s="1"/>
      <c r="J4">
        <v>4</v>
      </c>
    </row>
    <row r="5" spans="2:10" ht="15.75" thickBot="1">
      <c r="B5" s="2" t="s">
        <v>17</v>
      </c>
      <c r="C5" s="12">
        <v>0</v>
      </c>
      <c r="D5" s="3">
        <v>369</v>
      </c>
      <c r="E5" s="3">
        <v>424</v>
      </c>
      <c r="F5" s="3">
        <v>497</v>
      </c>
      <c r="G5" s="3">
        <v>530</v>
      </c>
      <c r="H5" s="3">
        <v>100</v>
      </c>
      <c r="I5" s="3" t="s">
        <v>18</v>
      </c>
      <c r="J5" s="42">
        <v>1</v>
      </c>
    </row>
    <row r="6" spans="2:10" ht="15.75" thickBot="1">
      <c r="B6" s="4" t="s">
        <v>19</v>
      </c>
      <c r="C6" s="5">
        <v>1901</v>
      </c>
      <c r="D6" s="7">
        <v>388</v>
      </c>
      <c r="E6" s="7">
        <v>446</v>
      </c>
      <c r="F6" s="7">
        <v>522</v>
      </c>
      <c r="G6" s="7">
        <v>557</v>
      </c>
      <c r="H6" s="7">
        <v>105</v>
      </c>
      <c r="I6" s="6">
        <v>1420</v>
      </c>
      <c r="J6" s="43">
        <v>2</v>
      </c>
    </row>
    <row r="7" spans="2:10" ht="15.75" thickBot="1">
      <c r="B7" s="8" t="s">
        <v>20</v>
      </c>
      <c r="C7" s="9">
        <v>2301</v>
      </c>
      <c r="D7" s="11">
        <v>406</v>
      </c>
      <c r="E7" s="11">
        <v>467</v>
      </c>
      <c r="F7" s="11">
        <v>547</v>
      </c>
      <c r="G7" s="11">
        <v>583</v>
      </c>
      <c r="H7" s="11">
        <v>110</v>
      </c>
      <c r="I7" s="10">
        <v>1520</v>
      </c>
      <c r="J7" s="42">
        <v>3</v>
      </c>
    </row>
    <row r="8" spans="2:10" ht="15.75" thickBot="1">
      <c r="B8" s="4" t="s">
        <v>21</v>
      </c>
      <c r="C8" s="5">
        <v>2701</v>
      </c>
      <c r="D8" s="7">
        <v>425</v>
      </c>
      <c r="E8" s="7">
        <v>488</v>
      </c>
      <c r="F8" s="7">
        <v>572</v>
      </c>
      <c r="G8" s="7">
        <v>610</v>
      </c>
      <c r="H8" s="7">
        <v>115</v>
      </c>
      <c r="I8" s="6">
        <v>1620</v>
      </c>
      <c r="J8" s="43">
        <v>4</v>
      </c>
    </row>
    <row r="9" spans="2:10" ht="15.75" thickBot="1">
      <c r="B9" s="8" t="s">
        <v>22</v>
      </c>
      <c r="C9" s="9">
        <v>3101</v>
      </c>
      <c r="D9" s="11">
        <v>443</v>
      </c>
      <c r="E9" s="11">
        <v>509</v>
      </c>
      <c r="F9" s="11">
        <v>597</v>
      </c>
      <c r="G9" s="11">
        <v>636</v>
      </c>
      <c r="H9" s="11">
        <v>120</v>
      </c>
      <c r="I9" s="10">
        <v>1720</v>
      </c>
      <c r="J9" s="42">
        <v>5</v>
      </c>
    </row>
    <row r="10" spans="2:10" ht="15.75" thickBot="1">
      <c r="B10" s="4" t="s">
        <v>23</v>
      </c>
      <c r="C10" s="5">
        <v>3501</v>
      </c>
      <c r="D10" s="7">
        <v>473</v>
      </c>
      <c r="E10" s="7">
        <v>543</v>
      </c>
      <c r="F10" s="7">
        <v>637</v>
      </c>
      <c r="G10" s="7">
        <v>679</v>
      </c>
      <c r="H10" s="7">
        <v>128</v>
      </c>
      <c r="I10" s="6">
        <v>1820</v>
      </c>
      <c r="J10" s="43">
        <v>6</v>
      </c>
    </row>
    <row r="11" spans="2:10" ht="15.75" thickBot="1">
      <c r="B11" s="8" t="s">
        <v>24</v>
      </c>
      <c r="C11" s="9">
        <v>3901</v>
      </c>
      <c r="D11" s="11">
        <v>502</v>
      </c>
      <c r="E11" s="11">
        <v>577</v>
      </c>
      <c r="F11" s="11">
        <v>676</v>
      </c>
      <c r="G11" s="11">
        <v>721</v>
      </c>
      <c r="H11" s="11">
        <v>136</v>
      </c>
      <c r="I11" s="10">
        <v>1920</v>
      </c>
      <c r="J11" s="42">
        <v>7</v>
      </c>
    </row>
    <row r="12" spans="2:10" ht="15.75" thickBot="1">
      <c r="B12" s="4" t="s">
        <v>25</v>
      </c>
      <c r="C12" s="5">
        <v>4301</v>
      </c>
      <c r="D12" s="7">
        <v>532</v>
      </c>
      <c r="E12" s="7">
        <v>611</v>
      </c>
      <c r="F12" s="7">
        <v>716</v>
      </c>
      <c r="G12" s="7">
        <v>764</v>
      </c>
      <c r="H12" s="7">
        <v>144</v>
      </c>
      <c r="I12" s="6">
        <v>2020</v>
      </c>
      <c r="J12" s="43">
        <v>8</v>
      </c>
    </row>
    <row r="13" spans="2:10" ht="15.75" thickBot="1">
      <c r="B13" s="8" t="s">
        <v>26</v>
      </c>
      <c r="C13" s="9">
        <v>4701</v>
      </c>
      <c r="D13" s="11">
        <v>561</v>
      </c>
      <c r="E13" s="11">
        <v>645</v>
      </c>
      <c r="F13" s="11">
        <v>756</v>
      </c>
      <c r="G13" s="11">
        <v>806</v>
      </c>
      <c r="H13" s="11">
        <v>152</v>
      </c>
      <c r="I13" s="10">
        <v>2120</v>
      </c>
      <c r="J13" s="42">
        <v>9</v>
      </c>
    </row>
    <row r="14" spans="2:10" ht="15.75" thickBot="1">
      <c r="B14" s="4" t="s">
        <v>27</v>
      </c>
      <c r="C14" s="5">
        <v>5101</v>
      </c>
      <c r="D14" s="7">
        <v>591</v>
      </c>
      <c r="E14" s="7">
        <v>679</v>
      </c>
      <c r="F14" s="7">
        <v>796</v>
      </c>
      <c r="G14" s="7">
        <v>848</v>
      </c>
      <c r="H14" s="7">
        <v>160</v>
      </c>
      <c r="I14" s="6">
        <v>2220</v>
      </c>
      <c r="J14" s="43">
        <v>10</v>
      </c>
    </row>
    <row r="15" ht="15.75" thickBot="1"/>
    <row r="16" spans="3:4" ht="15.75" thickBot="1">
      <c r="C16" s="12">
        <v>0</v>
      </c>
      <c r="D16">
        <v>1</v>
      </c>
    </row>
    <row r="17" spans="3:6" ht="15.75" thickBot="1">
      <c r="C17" s="5">
        <v>1901</v>
      </c>
      <c r="D17">
        <v>2</v>
      </c>
      <c r="F17" t="s">
        <v>28</v>
      </c>
    </row>
    <row r="18" spans="3:7" ht="15.75" thickBot="1">
      <c r="C18" s="9">
        <v>2301</v>
      </c>
      <c r="D18">
        <v>3</v>
      </c>
      <c r="F18">
        <v>1</v>
      </c>
      <c r="G18">
        <v>204</v>
      </c>
    </row>
    <row r="19" spans="3:7" ht="15.75" thickBot="1">
      <c r="C19" s="5">
        <v>2701</v>
      </c>
      <c r="D19">
        <v>4</v>
      </c>
      <c r="F19">
        <v>2</v>
      </c>
      <c r="G19">
        <v>204</v>
      </c>
    </row>
    <row r="20" spans="3:7" ht="15.75" thickBot="1">
      <c r="C20" s="9">
        <v>3101</v>
      </c>
      <c r="D20">
        <v>5</v>
      </c>
      <c r="F20">
        <v>3</v>
      </c>
      <c r="G20">
        <v>210</v>
      </c>
    </row>
    <row r="21" spans="3:7" ht="15.75" thickBot="1">
      <c r="C21" s="5">
        <v>3501</v>
      </c>
      <c r="D21">
        <v>6</v>
      </c>
      <c r="F21">
        <v>4</v>
      </c>
      <c r="G21">
        <v>235</v>
      </c>
    </row>
    <row r="22" spans="3:4" ht="15.75" thickBot="1">
      <c r="C22" s="9">
        <v>3901</v>
      </c>
      <c r="D22">
        <v>7</v>
      </c>
    </row>
    <row r="23" spans="3:4" ht="15.75" thickBot="1">
      <c r="C23" s="5">
        <v>4301</v>
      </c>
      <c r="D23">
        <v>8</v>
      </c>
    </row>
    <row r="24" spans="3:16" ht="15.75" thickBot="1">
      <c r="C24" s="9">
        <v>4701</v>
      </c>
      <c r="D24">
        <v>9</v>
      </c>
      <c r="J24" s="85" t="s">
        <v>56</v>
      </c>
      <c r="K24" s="85"/>
      <c r="L24" s="85"/>
      <c r="M24" s="85"/>
      <c r="N24" s="85"/>
      <c r="O24" s="85"/>
      <c r="P24" s="85"/>
    </row>
    <row r="25" spans="3:16" ht="30.75" thickBot="1">
      <c r="C25" s="5">
        <v>5101</v>
      </c>
      <c r="D25">
        <v>10</v>
      </c>
      <c r="J25" s="54" t="s">
        <v>49</v>
      </c>
      <c r="K25" s="54" t="s">
        <v>50</v>
      </c>
      <c r="L25" s="55" t="s">
        <v>51</v>
      </c>
      <c r="M25" s="56" t="s">
        <v>52</v>
      </c>
      <c r="N25" s="54" t="s">
        <v>53</v>
      </c>
      <c r="O25" s="54" t="s">
        <v>54</v>
      </c>
      <c r="P25" s="54" t="s">
        <v>55</v>
      </c>
    </row>
    <row r="26" spans="10:16" ht="15">
      <c r="J26" s="57">
        <v>0</v>
      </c>
      <c r="K26" s="57">
        <v>369</v>
      </c>
      <c r="L26" s="57">
        <v>424</v>
      </c>
      <c r="M26" s="57">
        <v>497</v>
      </c>
      <c r="N26" s="57">
        <v>530</v>
      </c>
      <c r="O26" s="57">
        <v>100</v>
      </c>
      <c r="P26" s="57" t="s">
        <v>18</v>
      </c>
    </row>
    <row r="27" spans="2:16" ht="15">
      <c r="B27" t="s">
        <v>34</v>
      </c>
      <c r="C27" t="b">
        <v>1</v>
      </c>
      <c r="J27" s="58">
        <v>1901</v>
      </c>
      <c r="K27" s="59">
        <v>388</v>
      </c>
      <c r="L27" s="59">
        <v>446</v>
      </c>
      <c r="M27" s="59">
        <v>522</v>
      </c>
      <c r="N27" s="59">
        <v>557</v>
      </c>
      <c r="O27" s="59">
        <v>105</v>
      </c>
      <c r="P27" s="58">
        <v>1420</v>
      </c>
    </row>
    <row r="28" spans="2:16" ht="15">
      <c r="B28" t="s">
        <v>38</v>
      </c>
      <c r="C28" t="b">
        <v>1</v>
      </c>
      <c r="J28" s="60">
        <v>2301</v>
      </c>
      <c r="K28" s="57">
        <v>406</v>
      </c>
      <c r="L28" s="57">
        <v>467</v>
      </c>
      <c r="M28" s="57">
        <v>547</v>
      </c>
      <c r="N28" s="57">
        <v>583</v>
      </c>
      <c r="O28" s="57">
        <v>110</v>
      </c>
      <c r="P28" s="60">
        <v>1520</v>
      </c>
    </row>
    <row r="29" spans="2:16" ht="15">
      <c r="B29" t="s">
        <v>42</v>
      </c>
      <c r="C29">
        <f>6900*12</f>
        <v>82800</v>
      </c>
      <c r="J29" s="58">
        <v>2701</v>
      </c>
      <c r="K29" s="59">
        <v>425</v>
      </c>
      <c r="L29" s="59">
        <v>488</v>
      </c>
      <c r="M29" s="59">
        <v>572</v>
      </c>
      <c r="N29" s="59">
        <v>610</v>
      </c>
      <c r="O29" s="59">
        <v>115</v>
      </c>
      <c r="P29" s="58">
        <v>1620</v>
      </c>
    </row>
    <row r="30" spans="2:16" ht="15">
      <c r="B30" t="s">
        <v>43</v>
      </c>
      <c r="C30">
        <v>1</v>
      </c>
      <c r="J30" s="60">
        <v>3101</v>
      </c>
      <c r="K30" s="57">
        <v>443</v>
      </c>
      <c r="L30" s="57">
        <v>509</v>
      </c>
      <c r="M30" s="57">
        <v>597</v>
      </c>
      <c r="N30" s="57">
        <v>636</v>
      </c>
      <c r="O30" s="57">
        <v>120</v>
      </c>
      <c r="P30" s="60">
        <v>1720</v>
      </c>
    </row>
    <row r="31" spans="10:16" ht="15">
      <c r="J31" s="58">
        <v>3501</v>
      </c>
      <c r="K31" s="59">
        <v>473</v>
      </c>
      <c r="L31" s="59">
        <v>543</v>
      </c>
      <c r="M31" s="59">
        <v>637</v>
      </c>
      <c r="N31" s="59">
        <v>679</v>
      </c>
      <c r="O31" s="59">
        <v>128</v>
      </c>
      <c r="P31" s="58">
        <v>1820</v>
      </c>
    </row>
    <row r="32" spans="2:16" ht="15">
      <c r="B32" t="s">
        <v>47</v>
      </c>
      <c r="J32" s="60">
        <v>3901</v>
      </c>
      <c r="K32" s="57">
        <v>502</v>
      </c>
      <c r="L32" s="57">
        <v>577</v>
      </c>
      <c r="M32" s="57">
        <v>676</v>
      </c>
      <c r="N32" s="57">
        <v>721</v>
      </c>
      <c r="O32" s="57">
        <v>136</v>
      </c>
      <c r="P32" s="60">
        <v>1920</v>
      </c>
    </row>
    <row r="33" spans="2:16" ht="15">
      <c r="B33" s="52">
        <v>0.025</v>
      </c>
      <c r="C33" s="15" t="e">
        <f>_xlfn.PDURATION(B33,'Elternunterhalt 2020'!C3,100000)</f>
        <v>#NUM!</v>
      </c>
      <c r="J33" s="58">
        <v>4301</v>
      </c>
      <c r="K33" s="59">
        <v>532</v>
      </c>
      <c r="L33" s="59">
        <v>611</v>
      </c>
      <c r="M33" s="59">
        <v>716</v>
      </c>
      <c r="N33" s="59">
        <v>764</v>
      </c>
      <c r="O33" s="59">
        <v>144</v>
      </c>
      <c r="P33" s="58">
        <v>2020</v>
      </c>
    </row>
    <row r="34" spans="10:16" ht="15">
      <c r="J34" s="60">
        <v>4701</v>
      </c>
      <c r="K34" s="57">
        <v>561</v>
      </c>
      <c r="L34" s="57">
        <v>645</v>
      </c>
      <c r="M34" s="57">
        <v>756</v>
      </c>
      <c r="N34" s="57">
        <v>806</v>
      </c>
      <c r="O34" s="57">
        <v>152</v>
      </c>
      <c r="P34" s="60">
        <v>2120</v>
      </c>
    </row>
    <row r="35" spans="10:16" ht="15">
      <c r="J35" s="58">
        <v>5101</v>
      </c>
      <c r="K35" s="59">
        <v>591</v>
      </c>
      <c r="L35" s="59">
        <v>679</v>
      </c>
      <c r="M35" s="59">
        <v>796</v>
      </c>
      <c r="N35" s="59">
        <v>848</v>
      </c>
      <c r="O35" s="59">
        <v>160</v>
      </c>
      <c r="P35" s="58">
        <v>2220</v>
      </c>
    </row>
  </sheetData>
  <sheetProtection/>
  <mergeCells count="1">
    <mergeCell ref="J24:P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Jörn Hauß</dc:creator>
  <cp:keywords/>
  <dc:description/>
  <cp:lastModifiedBy>Jobst Conring</cp:lastModifiedBy>
  <dcterms:created xsi:type="dcterms:W3CDTF">2019-12-05T09:11:13Z</dcterms:created>
  <dcterms:modified xsi:type="dcterms:W3CDTF">2020-09-10T07:25:42Z</dcterms:modified>
  <cp:category/>
  <cp:version/>
  <cp:contentType/>
  <cp:contentStatus/>
</cp:coreProperties>
</file>